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Assumptions" sheetId="2" state="visible" r:id="rId4"/>
    <sheet name="Working Capital Schedule" sheetId="3" state="visible" r:id="rId5"/>
    <sheet name="PP&amp;E and Depreciation" sheetId="4" state="visible" r:id="rId6"/>
    <sheet name="Debt Schedule" sheetId="5" state="visible" r:id="rId7"/>
    <sheet name="IS" sheetId="6" state="visible" r:id="rId8"/>
    <sheet name="Cash Flow Statement" sheetId="7" state="visible" r:id="rId9"/>
    <sheet name="Balance Sheet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<sst xmlns="http://schemas.openxmlformats.org/spreadsheetml/2006/main" count="186" uniqueCount="150">
  <si>
    <t xml:space="preserve">Aamir Capital: 3-Statement Financial Model Template</t>
  </si>
  <si>
    <t xml:space="preserve">What this is</t>
  </si>
  <si>
    <t xml:space="preserve">A fully-linked three-statement model: Income Statement, Balance Sheet and Cash Flow Statement, built on</t>
  </si>
  <si>
    <t xml:space="preserve">a Working Capital Schedule, a PP&amp;E / Depreciation Schedule, and a Debt Schedule - the same structure used</t>
  </si>
  <si>
    <t xml:space="preserve">in a real operating model, simplified to a clean starting point.</t>
  </si>
  <si>
    <t xml:space="preserve">How to use it</t>
  </si>
  <si>
    <t xml:space="preserve">1. Enter your own numbers in the yellow cells on the 'Assumptions' tab - both the operating assumptions</t>
  </si>
  <si>
    <t xml:space="preserve">   and the Year 0 opening balance sheet figures.</t>
  </si>
  <si>
    <t xml:space="preserve">2. Every other tab recalculates automatically. Do not type over black or green formula cells.</t>
  </si>
  <si>
    <t xml:space="preserve">3. Check the 'Balance Sheet' tab's Balance Check row - it must read zero for every year. If it does not,</t>
  </si>
  <si>
    <t xml:space="preserve">   an assumption or formula has been overwritten; re-check the yellow cells first.</t>
  </si>
  <si>
    <t xml:space="preserve">Color key (used consistently across every tab)</t>
  </si>
  <si>
    <t xml:space="preserve">Blue text   = a hardcoded input you can change</t>
  </si>
  <si>
    <t xml:space="preserve">Black text  = a formula within the same sheet</t>
  </si>
  <si>
    <t xml:space="preserve">Green text  = a formula linking to another sheet</t>
  </si>
  <si>
    <t xml:space="preserve">Yellow fill = a key assumption cell on the Assumptions tab</t>
  </si>
  <si>
    <t xml:space="preserve">Tab guide</t>
  </si>
  <si>
    <t xml:space="preserve">Assumptions               All model drivers and the Year 0 opening balance sheet</t>
  </si>
  <si>
    <t xml:space="preserve">Working Capital Schedule  Accounts receivable, inventory and accounts payable build</t>
  </si>
  <si>
    <t xml:space="preserve">PP&amp;E and Depreciation     Fixed asset roll-forward and straight-line depreciation</t>
  </si>
  <si>
    <t xml:space="preserve">Debt Schedule             Loan balance roll-forward and interest expense</t>
  </si>
  <si>
    <t xml:space="preserve">Income Statement          Revenue through net income</t>
  </si>
  <si>
    <t xml:space="preserve">Balance Sheet             Assets, liabilities and equity, with the balance check</t>
  </si>
  <si>
    <t xml:space="preserve">Cash Flow Statement       Operating, investing and financing cash flows</t>
  </si>
  <si>
    <t xml:space="preserve">Modeling conventions used</t>
  </si>
  <si>
    <t xml:space="preserve">Interest expense is calculated on the BEGINNING-of-year debt balance. This is a standard simplification</t>
  </si>
  <si>
    <t xml:space="preserve">that avoids circular references between the Income Statement and the Debt Schedule, at the cost of some</t>
  </si>
  <si>
    <t xml:space="preserve">precision versus an average-balance or fully circular convention.</t>
  </si>
  <si>
    <t xml:space="preserve">Depreciation is calculated on a straight-line basis using the beginning-of-year gross PP&amp;E balance and the</t>
  </si>
  <si>
    <t xml:space="preserve">useful life assumption.</t>
  </si>
  <si>
    <t xml:space="preserve">Provided free by Aamir Capital - aamircapital.com</t>
  </si>
  <si>
    <t xml:space="preserve">This template is provided for general informational and educational use. It is not financial, investment,</t>
  </si>
  <si>
    <t xml:space="preserve">accounting or tax advice. It is a simplified structure intended as a starting point for your own modeling work,</t>
  </si>
  <si>
    <t xml:space="preserve">not a complete or audited financial model. Aamir Capital accepts no liability for decisions made using this</t>
  </si>
  <si>
    <t xml:space="preserve">template. Always have your own model reviewed by a qualified professional before relying on it.</t>
  </si>
  <si>
    <t xml:space="preserve">Model Assumptions</t>
  </si>
  <si>
    <t xml:space="preserve">Operating Assumptions</t>
  </si>
  <si>
    <t xml:space="preserve">Year 0 Revenue ($)</t>
  </si>
  <si>
    <t xml:space="preserve">Most recent actual annual revenue</t>
  </si>
  <si>
    <t xml:space="preserve">Annual Revenue Growth Rate</t>
  </si>
  <si>
    <t xml:space="preserve">Applied every projection year</t>
  </si>
  <si>
    <t xml:space="preserve">Gross Margin</t>
  </si>
  <si>
    <t xml:space="preserve">Gross profit as % of revenue</t>
  </si>
  <si>
    <t xml:space="preserve">Operating Expenses (% of Revenue)</t>
  </si>
  <si>
    <t xml:space="preserve">SG&amp;A and other opex as % of revenue</t>
  </si>
  <si>
    <t xml:space="preserve">Tax Rate</t>
  </si>
  <si>
    <t xml:space="preserve">Effective tax rate on pre-tax income</t>
  </si>
  <si>
    <t xml:space="preserve">Working Capital Assumptions</t>
  </si>
  <si>
    <t xml:space="preserve">Days Sales Outstanding (AR Days)</t>
  </si>
  <si>
    <t xml:space="preserve">Average days to collect receivables</t>
  </si>
  <si>
    <t xml:space="preserve">Days Inventory Outstanding</t>
  </si>
  <si>
    <t xml:space="preserve">Average days inventory is held</t>
  </si>
  <si>
    <t xml:space="preserve">Days Payable Outstanding (AP Days)</t>
  </si>
  <si>
    <t xml:space="preserve">Average days to pay suppliers</t>
  </si>
  <si>
    <t xml:space="preserve">PP&amp;E and CapEx Assumptions</t>
  </si>
  <si>
    <t xml:space="preserve">CapEx (% of Revenue)</t>
  </si>
  <si>
    <t xml:space="preserve">Annual capital expenditure as % of revenue</t>
  </si>
  <si>
    <t xml:space="preserve">Useful Life of PP&amp;E (Years)</t>
  </si>
  <si>
    <t xml:space="preserve">Straight-line depreciation basis</t>
  </si>
  <si>
    <t xml:space="preserve">Debt Assumptions</t>
  </si>
  <si>
    <t xml:space="preserve">Interest Rate on Debt</t>
  </si>
  <si>
    <t xml:space="preserve">Annual interest rate</t>
  </si>
  <si>
    <t xml:space="preserve">Annual Scheduled Debt Repayment ($)</t>
  </si>
  <si>
    <t xml:space="preserve">Fixed annual principal repayment</t>
  </si>
  <si>
    <t xml:space="preserve">Equity Assumptions</t>
  </si>
  <si>
    <t xml:space="preserve">Dividend Payout Ratio (% of Net Income)</t>
  </si>
  <si>
    <t xml:space="preserve">Set to 0% to retain all earnings</t>
  </si>
  <si>
    <t xml:space="preserve">Opening Balance Sheet - Year 0 (Historical / Actual)</t>
  </si>
  <si>
    <t xml:space="preserve">Opening Cash ($)</t>
  </si>
  <si>
    <t xml:space="preserve">Year 0 closing cash balance</t>
  </si>
  <si>
    <t xml:space="preserve">Opening Gross PP&amp;E ($)</t>
  </si>
  <si>
    <t xml:space="preserve">Year 0 gross fixed assets, at cost</t>
  </si>
  <si>
    <t xml:space="preserve">Opening Accumulated Depreciation ($)</t>
  </si>
  <si>
    <t xml:space="preserve">Year 0 accumulated depreciation</t>
  </si>
  <si>
    <t xml:space="preserve">Opening Debt ($)</t>
  </si>
  <si>
    <t xml:space="preserve">Year 0 outstanding loan balance</t>
  </si>
  <si>
    <t xml:space="preserve">Opening Common Stock / Share Capital ($)</t>
  </si>
  <si>
    <t xml:space="preserve">Paid-in capital, held flat (no new issuance modeled)</t>
  </si>
  <si>
    <t xml:space="preserve">Note: Opening Retained Earnings is NOT entered here - it is calculated automatically on the</t>
  </si>
  <si>
    <t xml:space="preserve">Balance Sheet tab as the figure needed to make Year 0 balance (Assets = Liabilities + Equity).</t>
  </si>
  <si>
    <t xml:space="preserve">Source: all figures above are placeholder illustrative values - replace every yellow cell with your own.</t>
  </si>
  <si>
    <t xml:space="preserve">Working Capital Schedule ($)</t>
  </si>
  <si>
    <t xml:space="preserve">Year 0 (Opening)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</si>
  <si>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</si>
  <si>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</si>
  <si>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</si>
  <si>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</si>
  <si>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</si>
  <si>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Revenue</t>
  </si>
  <si>
    <t xml:space="preserve">Cost of Goods Sold</t>
  </si>
  <si>
    <t xml:space="preserve">Accounts Receivable</t>
  </si>
  <si>
    <t xml:space="preserve">Inventory</t>
  </si>
  <si>
    <t xml:space="preserve">Accounts Payable</t>
  </si>
  <si>
    <t xml:space="preserve">Increase in Accounts Receivable</t>
  </si>
  <si>
    <t xml:space="preserve">Increase in Inventory</t>
  </si>
  <si>
    <t xml:space="preserve">Increase in Accounts Payable</t>
  </si>
  <si>
    <t xml:space="preserve">PP&amp;E and Depreciation Schedule ($)</t>
  </si>
  <si>
    <t xml:space="preserve">Beginning Gross PP&amp;E</t>
  </si>
  <si>
    <t xml:space="preserve">+ CapEx</t>
  </si>
  <si>
    <t xml:space="preserve">Ending Gross PP&amp;E</t>
  </si>
  <si>
    <t xml:space="preserve">Beginning Accumulated Depreciation</t>
  </si>
  <si>
    <t xml:space="preserve">+ Depreciation Expense</t>
  </si>
  <si>
    <t xml:space="preserve">Ending Accumulated Depreciation</t>
  </si>
  <si>
    <t xml:space="preserve">Net PP&amp;E (Ending)</t>
  </si>
  <si>
    <t xml:space="preserve">Debt Schedule ($)</t>
  </si>
  <si>
    <t xml:space="preserve">Beginning Debt Balance</t>
  </si>
  <si>
    <t xml:space="preserve">- Scheduled Repayment</t>
  </si>
  <si>
    <t xml:space="preserve">Ending Debt Balance</t>
  </si>
  <si>
    <t xml:space="preserve">Interest Expense (on beginning balance)</t>
  </si>
  <si>
    <t xml:space="preserve">Income Statement ($)</t>
  </si>
  <si>
    <t xml:space="preserve">Gross Profit</t>
  </si>
  <si>
    <t xml:space="preserve">Operating Expenses</t>
  </si>
  <si>
    <t xml:space="preserve">EBITDA</t>
  </si>
  <si>
    <t xml:space="preserve">Depreciation &amp; Amortization</t>
  </si>
  <si>
    <t xml:space="preserve">EBIT</t>
  </si>
  <si>
    <t xml:space="preserve">Interest Expense</t>
  </si>
  <si>
    <t xml:space="preserve">Earnings Before Tax</t>
  </si>
  <si>
    <t xml:space="preserve">Tax</t>
  </si>
  <si>
    <t xml:space="preserve">Net Income</t>
  </si>
  <si>
    <t xml:space="preserve">Cash Flow Statement ($)</t>
  </si>
  <si>
    <t xml:space="preserve">(Year 0 is the opening position - no flow statement applies)</t>
  </si>
  <si>
    <t xml:space="preserve">+ Depreciation &amp; Amortization</t>
  </si>
  <si>
    <t xml:space="preserve">- Increase in Accounts Receivable</t>
  </si>
  <si>
    <t xml:space="preserve">- Increase in Inventory</t>
  </si>
  <si>
    <t xml:space="preserve">+ Increase in Accounts Payable</t>
  </si>
  <si>
    <t xml:space="preserve">Cash Flow from Operations</t>
  </si>
  <si>
    <t xml:space="preserve">- Capital Expenditure</t>
  </si>
  <si>
    <t xml:space="preserve">Cash Flow from Investing</t>
  </si>
  <si>
    <t xml:space="preserve">- Debt Repayment</t>
  </si>
  <si>
    <t xml:space="preserve">- Dividends Paid</t>
  </si>
  <si>
    <t xml:space="preserve">Cash Flow from Financing</t>
  </si>
  <si>
    <t xml:space="preserve">Net Change in Cash</t>
  </si>
  <si>
    <t xml:space="preserve">Beginning Cash</t>
  </si>
  <si>
    <t xml:space="preserve">Ending Cash</t>
  </si>
  <si>
    <t xml:space="preserve">Balance Sheet ($)</t>
  </si>
  <si>
    <t xml:space="preserve">ASSETS</t>
  </si>
  <si>
    <t xml:space="preserve">Cash</t>
  </si>
  <si>
    <t xml:space="preserve">Total Current Assets</t>
  </si>
  <si>
    <t xml:space="preserve">Net PP&amp;E</t>
  </si>
  <si>
    <t xml:space="preserve">Total Assets</t>
  </si>
  <si>
    <t xml:space="preserve">LIABILITIES</t>
  </si>
  <si>
    <t xml:space="preserve">Total Current Liabilities</t>
  </si>
  <si>
    <t xml:space="preserve">Long-Term Debt</t>
  </si>
  <si>
    <t xml:space="preserve">Total Liabilities</t>
  </si>
  <si>
    <t xml:space="preserve">EQUITY</t>
  </si>
  <si>
    <t xml:space="preserve">Common Stock / Share Capital</t>
  </si>
  <si>
    <t xml:space="preserve">Retained Earnings</t>
  </si>
  <si>
    <t xml:space="preserve">Total Equity</t>
  </si>
  <si>
    <t xml:space="preserve">Total Liabilities and Equity</t>
  </si>
  <si>
    <t xml:space="preserve">Balance Check (must equal zero)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</si>
</sst>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&quot;($&quot;#,##0\);\-"/>
    <numFmt numFmtId="166" formatCode="0.0%"/>
    <numFmt numFmtId="167" formatCode="0.0"/>
    <numFmt numFmtId="168" formatCode="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2F5C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A2F5C"/>
      <name val="Arial"/>
      <family val="0"/>
      <charset val="1"/>
    </font>
    <font>
      <b val="true"/>
      <i val="true"/>
      <sz val="10"/>
      <color rgb="FF0A2F5C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A2F5C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E2EFDA"/>
      </patternFill>
    </fill>
    <fill>
      <patternFill patternType="solid">
        <fgColor rgb="FFE2EFDA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A2F5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5"/>
  </cols>
  <sheetData>
    <row r="1" customFormat="false" ht="19.7" hidden="false" customHeight="false" outlineLevel="0" collapsed="false">
      <c r="A1" s="1" t="s">
        <v>0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1</v>
      </c>
    </row>
    <row r="5" customFormat="false" ht="15" hidden="false" customHeight="false" outlineLevel="0" collapsed="false">
      <c r="A5" s="2" t="s">
        <v>2</v>
      </c>
    </row>
    <row r="6" customFormat="false" ht="15" hidden="false" customHeight="false" outlineLevel="0" collapsed="false">
      <c r="A6" s="2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3" t="s">
        <v>5</v>
      </c>
    </row>
    <row r="10" customFormat="false" ht="15" hidden="false" customHeight="false" outlineLevel="0" collapsed="false">
      <c r="A10" s="2" t="s">
        <v>6</v>
      </c>
    </row>
    <row r="11" customFormat="false" ht="15" hidden="false" customHeight="false" outlineLevel="0" collapsed="false">
      <c r="A11" s="2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2"/>
    </row>
    <row r="16" customFormat="false" ht="15" hidden="false" customHeight="false" outlineLevel="0" collapsed="false">
      <c r="A16" s="3" t="s">
        <v>11</v>
      </c>
    </row>
    <row r="17" customFormat="false" ht="15" hidden="false" customHeight="false" outlineLevel="0" collapsed="false">
      <c r="A17" s="2" t="s">
        <v>12</v>
      </c>
    </row>
    <row r="18" customFormat="false" ht="15" hidden="false" customHeight="false" outlineLevel="0" collapsed="false">
      <c r="A18" s="2" t="s">
        <v>13</v>
      </c>
    </row>
    <row r="19" customFormat="false" ht="15" hidden="false" customHeight="false" outlineLevel="0" collapsed="false">
      <c r="A19" s="2" t="s">
        <v>14</v>
      </c>
    </row>
    <row r="20" customFormat="false" ht="15" hidden="false" customHeight="false" outlineLevel="0" collapsed="false">
      <c r="A20" s="2" t="s">
        <v>15</v>
      </c>
    </row>
    <row r="21" customFormat="false" ht="15" hidden="false" customHeight="false" outlineLevel="0" collapsed="false">
      <c r="A21" s="2"/>
    </row>
    <row r="22" customFormat="false" ht="15" hidden="false" customHeight="false" outlineLevel="0" collapsed="false">
      <c r="A22" s="3" t="s">
        <v>16</v>
      </c>
    </row>
    <row r="23" customFormat="false" ht="15" hidden="false" customHeight="false" outlineLevel="0" collapsed="false">
      <c r="A23" s="2" t="s">
        <v>17</v>
      </c>
    </row>
    <row r="24" customFormat="false" ht="15" hidden="false" customHeight="false" outlineLevel="0" collapsed="false">
      <c r="A24" s="2" t="s">
        <v>18</v>
      </c>
    </row>
    <row r="25" customFormat="false" ht="15" hidden="false" customHeight="false" outlineLevel="0" collapsed="false">
      <c r="A25" s="2" t="s">
        <v>19</v>
      </c>
    </row>
    <row r="26" customFormat="false" ht="15" hidden="false" customHeight="false" outlineLevel="0" collapsed="false">
      <c r="A26" s="2" t="s">
        <v>20</v>
      </c>
    </row>
    <row r="27" customFormat="false" ht="15" hidden="false" customHeight="false" outlineLevel="0" collapsed="false">
      <c r="A27" s="2" t="s">
        <v>21</v>
      </c>
    </row>
    <row r="28" customFormat="false" ht="15" hidden="false" customHeight="false" outlineLevel="0" collapsed="false">
      <c r="A28" s="2" t="s">
        <v>22</v>
      </c>
    </row>
    <row r="29" customFormat="false" ht="15" hidden="false" customHeight="false" outlineLevel="0" collapsed="false">
      <c r="A29" s="2" t="s">
        <v>23</v>
      </c>
    </row>
    <row r="30" customFormat="false" ht="15" hidden="false" customHeight="false" outlineLevel="0" collapsed="false">
      <c r="A30" s="2"/>
    </row>
    <row r="31" customFormat="false" ht="15" hidden="false" customHeight="false" outlineLevel="0" collapsed="false">
      <c r="A31" s="3" t="s">
        <v>24</v>
      </c>
    </row>
    <row r="32" customFormat="false" ht="15" hidden="false" customHeight="false" outlineLevel="0" collapsed="false">
      <c r="A32" s="2" t="s">
        <v>25</v>
      </c>
    </row>
    <row r="33" customFormat="false" ht="15" hidden="false" customHeight="false" outlineLevel="0" collapsed="false">
      <c r="A33" s="2" t="s">
        <v>26</v>
      </c>
    </row>
    <row r="34" customFormat="false" ht="15" hidden="false" customHeight="false" outlineLevel="0" collapsed="false">
      <c r="A34" s="2" t="s">
        <v>27</v>
      </c>
    </row>
    <row r="35" customFormat="false" ht="15" hidden="false" customHeight="false" outlineLevel="0" collapsed="false">
      <c r="A35" s="2" t="s">
        <v>28</v>
      </c>
    </row>
    <row r="36" customFormat="false" ht="15" hidden="false" customHeight="false" outlineLevel="0" collapsed="false">
      <c r="A36" s="2" t="s">
        <v>29</v>
      </c>
    </row>
    <row r="37" customFormat="false" ht="15" hidden="false" customHeight="false" outlineLevel="0" collapsed="false">
      <c r="A37" s="2"/>
    </row>
    <row r="38" customFormat="false" ht="15" hidden="false" customHeight="false" outlineLevel="0" collapsed="false">
      <c r="A38" s="4" t="s">
        <v>30</v>
      </c>
    </row>
    <row r="39" customFormat="false" ht="15" hidden="false" customHeight="false" outlineLevel="0" collapsed="false">
      <c r="A39" s="5" t="s">
        <v>31</v>
      </c>
    </row>
    <row r="40" customFormat="false" ht="15" hidden="false" customHeight="false" outlineLevel="0" collapsed="false">
      <c r="A40" s="5" t="s">
        <v>32</v>
      </c>
    </row>
    <row r="41" customFormat="false" ht="15" hidden="false" customHeight="false" outlineLevel="0" collapsed="false">
      <c r="A41" s="5" t="s">
        <v>33</v>
      </c>
    </row>
    <row r="42" customFormat="false" ht="15" hidden="false" customHeight="false" outlineLevel="0" collapsed="false">
      <c r="A42" s="5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16"/>
    <col collapsed="false" customWidth="true" hidden="false" outlineLevel="0" max="3" min="3" style="0" width="55"/>
  </cols>
  <sheetData>
    <row r="1" customFormat="false" ht="24" hidden="false" customHeight="true" outlineLevel="0" collapsed="false">
      <c r="A1" s="6" t="s">
        <v>35</v>
      </c>
      <c r="B1" s="6"/>
      <c r="C1" s="6"/>
    </row>
    <row r="3" customFormat="false" ht="15" hidden="false" customHeight="false" outlineLevel="0" collapsed="false">
      <c r="A3" s="3" t="s">
        <v>36</v>
      </c>
    </row>
    <row r="4" customFormat="false" ht="15" hidden="false" customHeight="false" outlineLevel="0" collapsed="false">
      <c r="A4" s="2" t="s">
        <v>37</v>
      </c>
      <c r="B4" s="7" t="n">
        <v>10000000</v>
      </c>
      <c r="C4" s="8" t="s">
        <v>38</v>
      </c>
    </row>
    <row r="5" customFormat="false" ht="15" hidden="false" customHeight="false" outlineLevel="0" collapsed="false">
      <c r="A5" s="2" t="s">
        <v>39</v>
      </c>
      <c r="B5" s="9" t="n">
        <v>0.08</v>
      </c>
      <c r="C5" s="8" t="s">
        <v>40</v>
      </c>
    </row>
    <row r="6" customFormat="false" ht="15" hidden="false" customHeight="false" outlineLevel="0" collapsed="false">
      <c r="A6" s="2" t="s">
        <v>41</v>
      </c>
      <c r="B6" s="9" t="n">
        <v>0.42</v>
      </c>
      <c r="C6" s="8" t="s">
        <v>42</v>
      </c>
    </row>
    <row r="7" customFormat="false" ht="15" hidden="false" customHeight="false" outlineLevel="0" collapsed="false">
      <c r="A7" s="2" t="s">
        <v>43</v>
      </c>
      <c r="B7" s="9" t="n">
        <v>0.22</v>
      </c>
      <c r="C7" s="8" t="s">
        <v>44</v>
      </c>
    </row>
    <row r="8" customFormat="false" ht="15" hidden="false" customHeight="false" outlineLevel="0" collapsed="false">
      <c r="A8" s="2" t="s">
        <v>45</v>
      </c>
      <c r="B8" s="9" t="n">
        <v>0.2</v>
      </c>
      <c r="C8" s="8" t="s">
        <v>46</v>
      </c>
    </row>
    <row r="10" customFormat="false" ht="15" hidden="false" customHeight="false" outlineLevel="0" collapsed="false">
      <c r="A10" s="3" t="s">
        <v>47</v>
      </c>
    </row>
    <row r="11" customFormat="false" ht="15" hidden="false" customHeight="false" outlineLevel="0" collapsed="false">
      <c r="A11" s="2" t="s">
        <v>48</v>
      </c>
      <c r="B11" s="10" t="n">
        <v>45</v>
      </c>
      <c r="C11" s="8" t="s">
        <v>49</v>
      </c>
    </row>
    <row r="12" customFormat="false" ht="15" hidden="false" customHeight="false" outlineLevel="0" collapsed="false">
      <c r="A12" s="2" t="s">
        <v>50</v>
      </c>
      <c r="B12" s="10" t="n">
        <v>30</v>
      </c>
      <c r="C12" s="8" t="s">
        <v>51</v>
      </c>
    </row>
    <row r="13" customFormat="false" ht="15" hidden="false" customHeight="false" outlineLevel="0" collapsed="false">
      <c r="A13" s="2" t="s">
        <v>52</v>
      </c>
      <c r="B13" s="10" t="n">
        <v>40</v>
      </c>
      <c r="C13" s="8" t="s">
        <v>53</v>
      </c>
    </row>
    <row r="15" customFormat="false" ht="15" hidden="false" customHeight="false" outlineLevel="0" collapsed="false">
      <c r="A15" s="3" t="s">
        <v>54</v>
      </c>
    </row>
    <row r="16" customFormat="false" ht="15" hidden="false" customHeight="false" outlineLevel="0" collapsed="false">
      <c r="A16" s="2" t="s">
        <v>55</v>
      </c>
      <c r="B16" s="9" t="n">
        <v>0.05</v>
      </c>
      <c r="C16" s="8" t="s">
        <v>56</v>
      </c>
    </row>
    <row r="17" customFormat="false" ht="15" hidden="false" customHeight="false" outlineLevel="0" collapsed="false">
      <c r="A17" s="2" t="s">
        <v>57</v>
      </c>
      <c r="B17" s="11" t="n">
        <v>10</v>
      </c>
      <c r="C17" s="8" t="s">
        <v>58</v>
      </c>
    </row>
    <row r="19" customFormat="false" ht="15" hidden="false" customHeight="false" outlineLevel="0" collapsed="false">
      <c r="A19" s="3" t="s">
        <v>59</v>
      </c>
    </row>
    <row r="20" customFormat="false" ht="15" hidden="false" customHeight="false" outlineLevel="0" collapsed="false">
      <c r="A20" s="2" t="s">
        <v>60</v>
      </c>
      <c r="B20" s="9" t="n">
        <v>0.065</v>
      </c>
      <c r="C20" s="8" t="s">
        <v>61</v>
      </c>
    </row>
    <row r="21" customFormat="false" ht="15" hidden="false" customHeight="false" outlineLevel="0" collapsed="false">
      <c r="A21" s="2" t="s">
        <v>62</v>
      </c>
      <c r="B21" s="7" t="n">
        <v>500000</v>
      </c>
      <c r="C21" s="8" t="s">
        <v>63</v>
      </c>
    </row>
    <row r="23" customFormat="false" ht="15" hidden="false" customHeight="false" outlineLevel="0" collapsed="false">
      <c r="A23" s="3" t="s">
        <v>64</v>
      </c>
    </row>
    <row r="24" customFormat="false" ht="15" hidden="false" customHeight="false" outlineLevel="0" collapsed="false">
      <c r="A24" s="2" t="s">
        <v>65</v>
      </c>
      <c r="B24" s="9" t="n">
        <v>0.2</v>
      </c>
      <c r="C24" s="8" t="s">
        <v>66</v>
      </c>
    </row>
    <row r="26" customFormat="false" ht="15" hidden="false" customHeight="false" outlineLevel="0" collapsed="false">
      <c r="A26" s="3" t="s">
        <v>67</v>
      </c>
    </row>
    <row r="27" customFormat="false" ht="15" hidden="false" customHeight="false" outlineLevel="0" collapsed="false">
      <c r="A27" s="2" t="s">
        <v>68</v>
      </c>
      <c r="B27" s="7" t="n">
        <v>1500000</v>
      </c>
      <c r="C27" s="8" t="s">
        <v>69</v>
      </c>
    </row>
    <row r="28" customFormat="false" ht="15" hidden="false" customHeight="false" outlineLevel="0" collapsed="false">
      <c r="A28" s="2" t="s">
        <v>70</v>
      </c>
      <c r="B28" s="7" t="n">
        <v>8000000</v>
      </c>
      <c r="C28" s="8" t="s">
        <v>71</v>
      </c>
    </row>
    <row r="29" customFormat="false" ht="15" hidden="false" customHeight="false" outlineLevel="0" collapsed="false">
      <c r="A29" s="2" t="s">
        <v>72</v>
      </c>
      <c r="B29" s="7" t="n">
        <v>3000000</v>
      </c>
      <c r="C29" s="8" t="s">
        <v>73</v>
      </c>
    </row>
    <row r="30" customFormat="false" ht="15" hidden="false" customHeight="false" outlineLevel="0" collapsed="false">
      <c r="A30" s="2" t="s">
        <v>74</v>
      </c>
      <c r="B30" s="7" t="n">
        <v>4000000</v>
      </c>
      <c r="C30" s="8" t="s">
        <v>75</v>
      </c>
    </row>
    <row r="31" customFormat="false" ht="15" hidden="false" customHeight="false" outlineLevel="0" collapsed="false">
      <c r="A31" s="2" t="s">
        <v>76</v>
      </c>
      <c r="B31" s="7" t="n">
        <v>2000000</v>
      </c>
      <c r="C31" s="8" t="s">
        <v>77</v>
      </c>
    </row>
    <row r="33" customFormat="false" ht="15" hidden="false" customHeight="false" outlineLevel="0" collapsed="false">
      <c r="A33" s="8" t="s">
        <v>78</v>
      </c>
    </row>
    <row r="34" customFormat="false" ht="15" hidden="false" customHeight="false" outlineLevel="0" collapsed="false">
      <c r="A34" s="8" t="s">
        <v>79</v>
      </c>
    </row>
    <row r="36" customFormat="false" ht="15" hidden="false" customHeight="false" outlineLevel="0" collapsed="false">
      <c r="A36" s="8" t="s">
        <v>80</v>
      </c>
    </row>
  </sheetData>
  <mergeCells count="1">
    <mergeCell ref="A1:C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7" min="2" style="0" width="15"/>
  </cols>
  <sheetData>
    <row r="1" customFormat="false" ht="24" hidden="false" customHeight="true" outlineLevel="0" collapsed="false">
      <c r="A1" s="6" t="s">
        <v>81</v>
      </c>
      <c r="B1" s="6"/>
      <c r="C1" s="6"/>
      <c r="D1" s="6"/>
      <c r="E1" s="6"/>
      <c r="F1" s="6"/>
      <c r="G1" s="6"/>
    </row>
    <row r="3" customFormat="false" ht="18" hidden="false" customHeight="true" outlineLevel="0" collapsed="false">
      <c r="A3" s="2"/>
      <c r="B3" s="12" t="s">
        <v>82</v>
      </c>
      <c r="C3" s="12" t="s">
        <v>83</v>
      </c>
      <c r="D3" s="12" t="s">
        <v>84</v>
      </c>
      <c r="E3" s="12" t="s">
        <v>85</v>
      </c>
      <c r="F3" s="12" t="s">
        <v>86</v>
      </c>
      <c r="G3" s="12" t="s">
        <v>87</v>
      </c>
    </row>
    <row r="4" customFormat="false" ht="15" hidden="false" customHeight="false" outlineLevel="0" collapsed="false">
      <c r="A4" s="2" t="s">
        <v>88</v>
      </c>
      <c r="B4" s="13" t="n">
        <f aca="false">Assumptions!$B$4</f>
        <v>10000000</v>
      </c>
      <c r="C4" s="13" t="n">
        <f aca="false">IS!C4</f>
        <v>10800000</v>
      </c>
      <c r="D4" s="13" t="n">
        <f aca="false">IS!D4</f>
        <v>11664000</v>
      </c>
      <c r="E4" s="13" t="n">
        <f aca="false">IS!E4</f>
        <v>12597120</v>
      </c>
      <c r="F4" s="13" t="n">
        <f aca="false">IS!F4</f>
        <v>13604889.6</v>
      </c>
      <c r="G4" s="13" t="n">
        <f aca="false">IS!G4</f>
        <v>14693280.768</v>
      </c>
    </row>
    <row r="5" customFormat="false" ht="15" hidden="false" customHeight="false" outlineLevel="0" collapsed="false">
      <c r="A5" s="2" t="s">
        <v>89</v>
      </c>
      <c r="B5" s="13" t="n">
        <f aca="false">B4*(1-Assumptions!$B$6)</f>
        <v>5800000</v>
      </c>
      <c r="C5" s="13" t="n">
        <f aca="false">IS!C5</f>
        <v>6264000</v>
      </c>
      <c r="D5" s="13" t="n">
        <f aca="false">IS!D5</f>
        <v>6765120</v>
      </c>
      <c r="E5" s="13" t="n">
        <f aca="false">IS!E5</f>
        <v>7306329.6</v>
      </c>
      <c r="F5" s="13" t="n">
        <f aca="false">IS!F5</f>
        <v>7890835.968</v>
      </c>
      <c r="G5" s="13" t="n">
        <f aca="false">IS!G5</f>
        <v>8522102.84544</v>
      </c>
    </row>
    <row r="7" customFormat="false" ht="15" hidden="false" customHeight="false" outlineLevel="0" collapsed="false">
      <c r="A7" s="14" t="s">
        <v>90</v>
      </c>
      <c r="B7" s="13" t="n">
        <f aca="false">B4/365*Assumptions!$B$11</f>
        <v>1232876.71232877</v>
      </c>
      <c r="C7" s="13" t="n">
        <f aca="false">C4/365*Assumptions!$B$11</f>
        <v>1331506.84931507</v>
      </c>
      <c r="D7" s="13" t="n">
        <f aca="false">D4/365*Assumptions!$B$11</f>
        <v>1438027.39726027</v>
      </c>
      <c r="E7" s="13" t="n">
        <f aca="false">E4/365*Assumptions!$B$11</f>
        <v>1553069.5890411</v>
      </c>
      <c r="F7" s="13" t="n">
        <f aca="false">F4/365*Assumptions!$B$11</f>
        <v>1677315.15616438</v>
      </c>
      <c r="G7" s="13" t="n">
        <f aca="false">G4/365*Assumptions!$B$11</f>
        <v>1811500.36865753</v>
      </c>
    </row>
    <row r="8" customFormat="false" ht="15" hidden="false" customHeight="false" outlineLevel="0" collapsed="false">
      <c r="A8" s="14" t="s">
        <v>91</v>
      </c>
      <c r="B8" s="13" t="n">
        <f aca="false">B5/365*Assumptions!$B$12</f>
        <v>476712.328767123</v>
      </c>
      <c r="C8" s="13" t="n">
        <f aca="false">C5/365*Assumptions!$B$12</f>
        <v>514849.315068493</v>
      </c>
      <c r="D8" s="13" t="n">
        <f aca="false">D5/365*Assumptions!$B$12</f>
        <v>556037.260273973</v>
      </c>
      <c r="E8" s="13" t="n">
        <f aca="false">E5/365*Assumptions!$B$12</f>
        <v>600520.24109589</v>
      </c>
      <c r="F8" s="13" t="n">
        <f aca="false">F5/365*Assumptions!$B$12</f>
        <v>648561.860383562</v>
      </c>
      <c r="G8" s="13" t="n">
        <f aca="false">G5/365*Assumptions!$B$12</f>
        <v>700446.809214247</v>
      </c>
    </row>
    <row r="9" customFormat="false" ht="15" hidden="false" customHeight="false" outlineLevel="0" collapsed="false">
      <c r="A9" s="14" t="s">
        <v>92</v>
      </c>
      <c r="B9" s="13" t="n">
        <f aca="false">B5/365*Assumptions!$B$13</f>
        <v>635616.438356165</v>
      </c>
      <c r="C9" s="13" t="n">
        <f aca="false">C5/365*Assumptions!$B$13</f>
        <v>686465.753424658</v>
      </c>
      <c r="D9" s="13" t="n">
        <f aca="false">D5/365*Assumptions!$B$13</f>
        <v>741383.01369863</v>
      </c>
      <c r="E9" s="13" t="n">
        <f aca="false">E5/365*Assumptions!$B$13</f>
        <v>800693.654794521</v>
      </c>
      <c r="F9" s="13" t="n">
        <f aca="false">F5/365*Assumptions!$B$13</f>
        <v>864749.147178083</v>
      </c>
      <c r="G9" s="13" t="n">
        <f aca="false">G5/365*Assumptions!$B$13</f>
        <v>933929.078952329</v>
      </c>
    </row>
    <row r="11" customFormat="false" ht="15" hidden="false" customHeight="false" outlineLevel="0" collapsed="false">
      <c r="A11" s="2" t="s">
        <v>93</v>
      </c>
      <c r="C11" s="15" t="n">
        <f aca="false">C7-B7</f>
        <v>98630.1369863013</v>
      </c>
      <c r="D11" s="15" t="n">
        <f aca="false">D7-C7</f>
        <v>106520.547945206</v>
      </c>
      <c r="E11" s="15" t="n">
        <f aca="false">E7-D7</f>
        <v>115042.191780822</v>
      </c>
      <c r="F11" s="15" t="n">
        <f aca="false">F7-E7</f>
        <v>124245.567123288</v>
      </c>
      <c r="G11" s="15" t="n">
        <f aca="false">G7-F7</f>
        <v>134185.212493151</v>
      </c>
    </row>
    <row r="12" customFormat="false" ht="15" hidden="false" customHeight="false" outlineLevel="0" collapsed="false">
      <c r="A12" s="2" t="s">
        <v>94</v>
      </c>
      <c r="C12" s="15" t="n">
        <f aca="false">C8-B8</f>
        <v>38136.9863013698</v>
      </c>
      <c r="D12" s="15" t="n">
        <f aca="false">D8-C8</f>
        <v>41187.9452054795</v>
      </c>
      <c r="E12" s="15" t="n">
        <f aca="false">E8-D8</f>
        <v>44482.9808219178</v>
      </c>
      <c r="F12" s="15" t="n">
        <f aca="false">F8-E8</f>
        <v>48041.6192876714</v>
      </c>
      <c r="G12" s="15" t="n">
        <f aca="false">G8-F8</f>
        <v>51884.9488306849</v>
      </c>
    </row>
    <row r="13" customFormat="false" ht="15" hidden="false" customHeight="false" outlineLevel="0" collapsed="false">
      <c r="A13" s="2" t="s">
        <v>95</v>
      </c>
      <c r="C13" s="15" t="n">
        <f aca="false">C9-B9</f>
        <v>50849.3150684931</v>
      </c>
      <c r="D13" s="15" t="n">
        <f aca="false">D9-C9</f>
        <v>54917.2602739726</v>
      </c>
      <c r="E13" s="15" t="n">
        <f aca="false">E9-D9</f>
        <v>59310.6410958903</v>
      </c>
      <c r="F13" s="15" t="n">
        <f aca="false">F9-E9</f>
        <v>64055.4923835619</v>
      </c>
      <c r="G13" s="15" t="n">
        <f aca="false">G9-F9</f>
        <v>69179.9317742465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7" min="2" style="0" width="15"/>
  </cols>
  <sheetData>
    <row r="1" customFormat="false" ht="24" hidden="false" customHeight="true" outlineLevel="0" collapsed="false">
      <c r="A1" s="6" t="s">
        <v>96</v>
      </c>
      <c r="B1" s="6"/>
      <c r="C1" s="6"/>
      <c r="D1" s="6"/>
      <c r="E1" s="6"/>
      <c r="F1" s="6"/>
      <c r="G1" s="6"/>
    </row>
    <row r="3" customFormat="false" ht="18" hidden="false" customHeight="true" outlineLevel="0" collapsed="false">
      <c r="A3" s="2"/>
      <c r="B3" s="12" t="s">
        <v>82</v>
      </c>
      <c r="C3" s="12" t="s">
        <v>83</v>
      </c>
      <c r="D3" s="12" t="s">
        <v>84</v>
      </c>
      <c r="E3" s="12" t="s">
        <v>85</v>
      </c>
      <c r="F3" s="12" t="s">
        <v>86</v>
      </c>
      <c r="G3" s="12" t="s">
        <v>87</v>
      </c>
    </row>
    <row r="4" customFormat="false" ht="15" hidden="false" customHeight="false" outlineLevel="0" collapsed="false">
      <c r="A4" s="2" t="s">
        <v>97</v>
      </c>
      <c r="B4" s="13" t="n">
        <f aca="false">Assumptions!$B$28</f>
        <v>8000000</v>
      </c>
      <c r="C4" s="15" t="n">
        <f aca="false">B6</f>
        <v>8000000</v>
      </c>
      <c r="D4" s="15" t="n">
        <f aca="false">C6</f>
        <v>8540000</v>
      </c>
      <c r="E4" s="15" t="n">
        <f aca="false">D6</f>
        <v>9123200</v>
      </c>
      <c r="F4" s="15" t="n">
        <f aca="false">E6</f>
        <v>9753056</v>
      </c>
      <c r="G4" s="15" t="n">
        <f aca="false">F6</f>
        <v>10433300.48</v>
      </c>
    </row>
    <row r="5" customFormat="false" ht="15" hidden="false" customHeight="false" outlineLevel="0" collapsed="false">
      <c r="A5" s="2" t="s">
        <v>98</v>
      </c>
      <c r="B5" s="15" t="n">
        <v>0</v>
      </c>
      <c r="C5" s="13" t="n">
        <f aca="false">IS!C4*Assumptions!$B$16</f>
        <v>540000</v>
      </c>
      <c r="D5" s="13" t="n">
        <f aca="false">IS!D4*Assumptions!$B$16</f>
        <v>583200</v>
      </c>
      <c r="E5" s="13" t="n">
        <f aca="false">IS!E4*Assumptions!$B$16</f>
        <v>629856</v>
      </c>
      <c r="F5" s="13" t="n">
        <f aca="false">IS!F4*Assumptions!$B$16</f>
        <v>680244.48</v>
      </c>
      <c r="G5" s="13" t="n">
        <f aca="false">IS!G4*Assumptions!$B$16</f>
        <v>734664.0384</v>
      </c>
    </row>
    <row r="6" customFormat="false" ht="15" hidden="false" customHeight="false" outlineLevel="0" collapsed="false">
      <c r="A6" s="14" t="s">
        <v>99</v>
      </c>
      <c r="B6" s="16" t="n">
        <f aca="false">B4+B5</f>
        <v>8000000</v>
      </c>
      <c r="C6" s="16" t="n">
        <f aca="false">C4+C5</f>
        <v>8540000</v>
      </c>
      <c r="D6" s="16" t="n">
        <f aca="false">D4+D5</f>
        <v>9123200</v>
      </c>
      <c r="E6" s="16" t="n">
        <f aca="false">E4+E5</f>
        <v>9753056</v>
      </c>
      <c r="F6" s="16" t="n">
        <f aca="false">F4+F5</f>
        <v>10433300.48</v>
      </c>
      <c r="G6" s="16" t="n">
        <f aca="false">G4+G5</f>
        <v>11167964.5184</v>
      </c>
    </row>
    <row r="8" customFormat="false" ht="15" hidden="false" customHeight="false" outlineLevel="0" collapsed="false">
      <c r="A8" s="2" t="s">
        <v>100</v>
      </c>
      <c r="B8" s="13" t="n">
        <f aca="false">Assumptions!$B$29</f>
        <v>3000000</v>
      </c>
      <c r="C8" s="15" t="n">
        <f aca="false">B10</f>
        <v>3000000</v>
      </c>
      <c r="D8" s="15" t="n">
        <f aca="false">C10</f>
        <v>3800000</v>
      </c>
      <c r="E8" s="15" t="n">
        <f aca="false">D10</f>
        <v>4654000</v>
      </c>
      <c r="F8" s="15" t="n">
        <f aca="false">E10</f>
        <v>5566320</v>
      </c>
      <c r="G8" s="15" t="n">
        <f aca="false">F10</f>
        <v>6541625.6</v>
      </c>
    </row>
    <row r="9" customFormat="false" ht="15" hidden="false" customHeight="false" outlineLevel="0" collapsed="false">
      <c r="A9" s="2" t="s">
        <v>101</v>
      </c>
      <c r="B9" s="15" t="n">
        <v>0</v>
      </c>
      <c r="C9" s="13" t="n">
        <f aca="false">C4/Assumptions!$B$17</f>
        <v>800000</v>
      </c>
      <c r="D9" s="13" t="n">
        <f aca="false">D4/Assumptions!$B$17</f>
        <v>854000</v>
      </c>
      <c r="E9" s="13" t="n">
        <f aca="false">E4/Assumptions!$B$17</f>
        <v>912320</v>
      </c>
      <c r="F9" s="13" t="n">
        <f aca="false">F4/Assumptions!$B$17</f>
        <v>975305.6</v>
      </c>
      <c r="G9" s="13" t="n">
        <f aca="false">G4/Assumptions!$B$17</f>
        <v>1043330.048</v>
      </c>
    </row>
    <row r="10" customFormat="false" ht="15" hidden="false" customHeight="false" outlineLevel="0" collapsed="false">
      <c r="A10" s="14" t="s">
        <v>102</v>
      </c>
      <c r="B10" s="16" t="n">
        <f aca="false">B8+B9</f>
        <v>3000000</v>
      </c>
      <c r="C10" s="16" t="n">
        <f aca="false">C8+C9</f>
        <v>3800000</v>
      </c>
      <c r="D10" s="16" t="n">
        <f aca="false">D8+D9</f>
        <v>4654000</v>
      </c>
      <c r="E10" s="16" t="n">
        <f aca="false">E8+E9</f>
        <v>5566320</v>
      </c>
      <c r="F10" s="16" t="n">
        <f aca="false">F8+F9</f>
        <v>6541625.6</v>
      </c>
      <c r="G10" s="16" t="n">
        <f aca="false">G8+G9</f>
        <v>7584955.648</v>
      </c>
    </row>
    <row r="12" customFormat="false" ht="15" hidden="false" customHeight="false" outlineLevel="0" collapsed="false">
      <c r="A12" s="14" t="s">
        <v>103</v>
      </c>
      <c r="B12" s="16" t="n">
        <f aca="false">B6-B10</f>
        <v>5000000</v>
      </c>
      <c r="C12" s="16" t="n">
        <f aca="false">C6-C10</f>
        <v>4740000</v>
      </c>
      <c r="D12" s="16" t="n">
        <f aca="false">D6-D10</f>
        <v>4469200</v>
      </c>
      <c r="E12" s="16" t="n">
        <f aca="false">E6-E10</f>
        <v>4186736</v>
      </c>
      <c r="F12" s="16" t="n">
        <f aca="false">F6-F10</f>
        <v>3891674.88</v>
      </c>
      <c r="G12" s="16" t="n">
        <f aca="false">G6-G10</f>
        <v>3583008.8704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7" min="2" style="0" width="15"/>
  </cols>
  <sheetData>
    <row r="1" customFormat="false" ht="24" hidden="false" customHeight="true" outlineLevel="0" collapsed="false">
      <c r="A1" s="6" t="s">
        <v>104</v>
      </c>
      <c r="B1" s="6"/>
      <c r="C1" s="6"/>
      <c r="D1" s="6"/>
      <c r="E1" s="6"/>
      <c r="F1" s="6"/>
      <c r="G1" s="6"/>
    </row>
    <row r="3" customFormat="false" ht="18" hidden="false" customHeight="true" outlineLevel="0" collapsed="false">
      <c r="A3" s="2"/>
      <c r="B3" s="12" t="s">
        <v>82</v>
      </c>
      <c r="C3" s="12" t="s">
        <v>83</v>
      </c>
      <c r="D3" s="12" t="s">
        <v>84</v>
      </c>
      <c r="E3" s="12" t="s">
        <v>85</v>
      </c>
      <c r="F3" s="12" t="s">
        <v>86</v>
      </c>
      <c r="G3" s="12" t="s">
        <v>87</v>
      </c>
    </row>
    <row r="4" customFormat="false" ht="15" hidden="false" customHeight="false" outlineLevel="0" collapsed="false">
      <c r="A4" s="2" t="s">
        <v>105</v>
      </c>
      <c r="B4" s="13" t="n">
        <f aca="false">Assumptions!$B$30</f>
        <v>4000000</v>
      </c>
      <c r="C4" s="15" t="n">
        <f aca="false">B6</f>
        <v>4000000</v>
      </c>
      <c r="D4" s="15" t="n">
        <f aca="false">C6</f>
        <v>3500000</v>
      </c>
      <c r="E4" s="15" t="n">
        <f aca="false">D6</f>
        <v>3000000</v>
      </c>
      <c r="F4" s="15" t="n">
        <f aca="false">E6</f>
        <v>2500000</v>
      </c>
      <c r="G4" s="15" t="n">
        <f aca="false">F6</f>
        <v>2000000</v>
      </c>
    </row>
    <row r="5" customFormat="false" ht="15" hidden="false" customHeight="false" outlineLevel="0" collapsed="false">
      <c r="A5" s="2" t="s">
        <v>106</v>
      </c>
      <c r="B5" s="15" t="n">
        <v>0</v>
      </c>
      <c r="C5" s="13" t="n">
        <f aca="false">MIN(Assumptions!$B$21,C4)</f>
        <v>500000</v>
      </c>
      <c r="D5" s="13" t="n">
        <f aca="false">MIN(Assumptions!$B$21,D4)</f>
        <v>500000</v>
      </c>
      <c r="E5" s="13" t="n">
        <f aca="false">MIN(Assumptions!$B$21,E4)</f>
        <v>500000</v>
      </c>
      <c r="F5" s="13" t="n">
        <f aca="false">MIN(Assumptions!$B$21,F4)</f>
        <v>500000</v>
      </c>
      <c r="G5" s="13" t="n">
        <f aca="false">MIN(Assumptions!$B$21,G4)</f>
        <v>500000</v>
      </c>
    </row>
    <row r="6" customFormat="false" ht="15" hidden="false" customHeight="false" outlineLevel="0" collapsed="false">
      <c r="A6" s="14" t="s">
        <v>107</v>
      </c>
      <c r="B6" s="16" t="n">
        <f aca="false">B4-B5</f>
        <v>4000000</v>
      </c>
      <c r="C6" s="16" t="n">
        <f aca="false">C4-C5</f>
        <v>3500000</v>
      </c>
      <c r="D6" s="16" t="n">
        <f aca="false">D4-D5</f>
        <v>3000000</v>
      </c>
      <c r="E6" s="16" t="n">
        <f aca="false">E4-E5</f>
        <v>2500000</v>
      </c>
      <c r="F6" s="16" t="n">
        <f aca="false">F4-F5</f>
        <v>2000000</v>
      </c>
      <c r="G6" s="16" t="n">
        <f aca="false">G4-G5</f>
        <v>1500000</v>
      </c>
    </row>
    <row r="8" customFormat="false" ht="15" hidden="false" customHeight="false" outlineLevel="0" collapsed="false">
      <c r="A8" s="14" t="s">
        <v>108</v>
      </c>
      <c r="B8" s="15" t="n">
        <v>0</v>
      </c>
      <c r="C8" s="13" t="n">
        <f aca="false">C4*Assumptions!$B$20</f>
        <v>260000</v>
      </c>
      <c r="D8" s="13" t="n">
        <f aca="false">D4*Assumptions!$B$20</f>
        <v>227500</v>
      </c>
      <c r="E8" s="13" t="n">
        <f aca="false">E4*Assumptions!$B$20</f>
        <v>195000</v>
      </c>
      <c r="F8" s="13" t="n">
        <f aca="false">F4*Assumptions!$B$20</f>
        <v>162500</v>
      </c>
      <c r="G8" s="13" t="n">
        <f aca="false">G4*Assumptions!$B$20</f>
        <v>130000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7" min="2" style="0" width="15"/>
  </cols>
  <sheetData>
    <row r="1" customFormat="false" ht="24" hidden="false" customHeight="true" outlineLevel="0" collapsed="false">
      <c r="A1" s="6" t="s">
        <v>109</v>
      </c>
      <c r="B1" s="6"/>
      <c r="C1" s="6"/>
      <c r="D1" s="6"/>
      <c r="E1" s="6"/>
      <c r="F1" s="6"/>
      <c r="G1" s="6"/>
    </row>
    <row r="3" customFormat="false" ht="18" hidden="false" customHeight="true" outlineLevel="0" collapsed="false">
      <c r="A3" s="2"/>
      <c r="B3" s="12" t="s">
        <v>82</v>
      </c>
      <c r="C3" s="12" t="s">
        <v>83</v>
      </c>
      <c r="D3" s="12" t="s">
        <v>84</v>
      </c>
      <c r="E3" s="12" t="s">
        <v>85</v>
      </c>
      <c r="F3" s="12" t="s">
        <v>86</v>
      </c>
      <c r="G3" s="12" t="s">
        <v>87</v>
      </c>
    </row>
    <row r="4" customFormat="false" ht="15" hidden="false" customHeight="false" outlineLevel="0" collapsed="false">
      <c r="A4" s="2" t="s">
        <v>88</v>
      </c>
      <c r="B4" s="13" t="n">
        <f aca="false">'Working Capital Schedule'!B4</f>
        <v>10000000</v>
      </c>
      <c r="C4" s="13" t="n">
        <f aca="false">B4*(1+Assumptions!$B$5)</f>
        <v>10800000</v>
      </c>
      <c r="D4" s="13" t="n">
        <f aca="false">C4*(1+Assumptions!$B$5)</f>
        <v>11664000</v>
      </c>
      <c r="E4" s="13" t="n">
        <f aca="false">D4*(1+Assumptions!$B$5)</f>
        <v>12597120</v>
      </c>
      <c r="F4" s="13" t="n">
        <f aca="false">E4*(1+Assumptions!$B$5)</f>
        <v>13604889.6</v>
      </c>
      <c r="G4" s="13" t="n">
        <f aca="false">F4*(1+Assumptions!$B$5)</f>
        <v>14693280.768</v>
      </c>
    </row>
    <row r="5" customFormat="false" ht="15" hidden="false" customHeight="false" outlineLevel="0" collapsed="false">
      <c r="A5" s="2" t="s">
        <v>89</v>
      </c>
      <c r="B5" s="13" t="n">
        <f aca="false">'Working Capital Schedule'!B5</f>
        <v>5800000</v>
      </c>
      <c r="C5" s="13" t="n">
        <f aca="false">C4*(1-Assumptions!$B$6)</f>
        <v>6264000</v>
      </c>
      <c r="D5" s="13" t="n">
        <f aca="false">D4*(1-Assumptions!$B$6)</f>
        <v>6765120</v>
      </c>
      <c r="E5" s="13" t="n">
        <f aca="false">E4*(1-Assumptions!$B$6)</f>
        <v>7306329.6</v>
      </c>
      <c r="F5" s="13" t="n">
        <f aca="false">F4*(1-Assumptions!$B$6)</f>
        <v>7890835.968</v>
      </c>
      <c r="G5" s="13" t="n">
        <f aca="false">G4*(1-Assumptions!$B$6)</f>
        <v>8522102.84544</v>
      </c>
    </row>
    <row r="6" customFormat="false" ht="15" hidden="false" customHeight="false" outlineLevel="0" collapsed="false">
      <c r="A6" s="14" t="s">
        <v>110</v>
      </c>
      <c r="B6" s="16" t="n">
        <f aca="false">B4-B5</f>
        <v>4200000</v>
      </c>
      <c r="C6" s="16" t="n">
        <f aca="false">C4-C5</f>
        <v>4536000</v>
      </c>
      <c r="D6" s="16" t="n">
        <f aca="false">D4-D5</f>
        <v>4898880</v>
      </c>
      <c r="E6" s="16" t="n">
        <f aca="false">E4-E5</f>
        <v>5290790.4</v>
      </c>
      <c r="F6" s="16" t="n">
        <f aca="false">F4-F5</f>
        <v>5714053.632</v>
      </c>
      <c r="G6" s="16" t="n">
        <f aca="false">G4-G5</f>
        <v>6171177.92256</v>
      </c>
    </row>
    <row r="7" customFormat="false" ht="15" hidden="false" customHeight="false" outlineLevel="0" collapsed="false">
      <c r="A7" s="2" t="s">
        <v>111</v>
      </c>
      <c r="B7" s="13" t="n">
        <f aca="false">B4*Assumptions!$B$7</f>
        <v>2200000</v>
      </c>
      <c r="C7" s="13" t="n">
        <f aca="false">C4*Assumptions!$B$7</f>
        <v>2376000</v>
      </c>
      <c r="D7" s="13" t="n">
        <f aca="false">D4*Assumptions!$B$7</f>
        <v>2566080</v>
      </c>
      <c r="E7" s="13" t="n">
        <f aca="false">E4*Assumptions!$B$7</f>
        <v>2771366.4</v>
      </c>
      <c r="F7" s="13" t="n">
        <f aca="false">F4*Assumptions!$B$7</f>
        <v>2993075.712</v>
      </c>
      <c r="G7" s="13" t="n">
        <f aca="false">G4*Assumptions!$B$7</f>
        <v>3232521.76896</v>
      </c>
    </row>
    <row r="8" customFormat="false" ht="15" hidden="false" customHeight="false" outlineLevel="0" collapsed="false">
      <c r="A8" s="14" t="s">
        <v>112</v>
      </c>
      <c r="B8" s="16" t="n">
        <f aca="false">B6-B7</f>
        <v>2000000</v>
      </c>
      <c r="C8" s="16" t="n">
        <f aca="false">C6-C7</f>
        <v>2160000</v>
      </c>
      <c r="D8" s="16" t="n">
        <f aca="false">D6-D7</f>
        <v>2332800</v>
      </c>
      <c r="E8" s="16" t="n">
        <f aca="false">E6-E7</f>
        <v>2519424</v>
      </c>
      <c r="F8" s="16" t="n">
        <f aca="false">F6-F7</f>
        <v>2720977.92</v>
      </c>
      <c r="G8" s="16" t="n">
        <f aca="false">G6-G7</f>
        <v>2938656.1536</v>
      </c>
    </row>
    <row r="9" customFormat="false" ht="15" hidden="false" customHeight="false" outlineLevel="0" collapsed="false">
      <c r="A9" s="2" t="s">
        <v>113</v>
      </c>
      <c r="B9" s="13" t="n">
        <f aca="false">'PP&amp;E and Depreciation'!B9</f>
        <v>0</v>
      </c>
      <c r="C9" s="13" t="n">
        <f aca="false">'PP&amp;E and Depreciation'!C9</f>
        <v>800000</v>
      </c>
      <c r="D9" s="13" t="n">
        <f aca="false">'PP&amp;E and Depreciation'!D9</f>
        <v>854000</v>
      </c>
      <c r="E9" s="13" t="n">
        <f aca="false">'PP&amp;E and Depreciation'!E9</f>
        <v>912320</v>
      </c>
      <c r="F9" s="13" t="n">
        <f aca="false">'PP&amp;E and Depreciation'!F9</f>
        <v>975305.6</v>
      </c>
      <c r="G9" s="13" t="n">
        <f aca="false">'PP&amp;E and Depreciation'!G9</f>
        <v>1043330.048</v>
      </c>
    </row>
    <row r="10" customFormat="false" ht="15" hidden="false" customHeight="false" outlineLevel="0" collapsed="false">
      <c r="A10" s="14" t="s">
        <v>114</v>
      </c>
      <c r="B10" s="16" t="n">
        <f aca="false">B8-B9</f>
        <v>2000000</v>
      </c>
      <c r="C10" s="16" t="n">
        <f aca="false">C8-C9</f>
        <v>1360000</v>
      </c>
      <c r="D10" s="16" t="n">
        <f aca="false">D8-D9</f>
        <v>1478800</v>
      </c>
      <c r="E10" s="16" t="n">
        <f aca="false">E8-E9</f>
        <v>1607104</v>
      </c>
      <c r="F10" s="16" t="n">
        <f aca="false">F8-F9</f>
        <v>1745672.32</v>
      </c>
      <c r="G10" s="16" t="n">
        <f aca="false">G8-G9</f>
        <v>1895326.1056</v>
      </c>
    </row>
    <row r="11" customFormat="false" ht="15" hidden="false" customHeight="false" outlineLevel="0" collapsed="false">
      <c r="A11" s="2" t="s">
        <v>115</v>
      </c>
      <c r="B11" s="13" t="n">
        <f aca="false">'Debt Schedule'!B8</f>
        <v>0</v>
      </c>
      <c r="C11" s="13" t="n">
        <f aca="false">'Debt Schedule'!C8</f>
        <v>260000</v>
      </c>
      <c r="D11" s="13" t="n">
        <f aca="false">'Debt Schedule'!D8</f>
        <v>227500</v>
      </c>
      <c r="E11" s="13" t="n">
        <f aca="false">'Debt Schedule'!E8</f>
        <v>195000</v>
      </c>
      <c r="F11" s="13" t="n">
        <f aca="false">'Debt Schedule'!F8</f>
        <v>162500</v>
      </c>
      <c r="G11" s="13" t="n">
        <f aca="false">'Debt Schedule'!G8</f>
        <v>130000</v>
      </c>
    </row>
    <row r="12" customFormat="false" ht="15" hidden="false" customHeight="false" outlineLevel="0" collapsed="false">
      <c r="A12" s="14" t="s">
        <v>116</v>
      </c>
      <c r="B12" s="16" t="n">
        <f aca="false">B10-B11</f>
        <v>2000000</v>
      </c>
      <c r="C12" s="16" t="n">
        <f aca="false">C10-C11</f>
        <v>1100000</v>
      </c>
      <c r="D12" s="16" t="n">
        <f aca="false">D10-D11</f>
        <v>1251300</v>
      </c>
      <c r="E12" s="16" t="n">
        <f aca="false">E10-E11</f>
        <v>1412104</v>
      </c>
      <c r="F12" s="16" t="n">
        <f aca="false">F10-F11</f>
        <v>1583172.32</v>
      </c>
      <c r="G12" s="16" t="n">
        <f aca="false">G10-G11</f>
        <v>1765326.1056</v>
      </c>
    </row>
    <row r="13" customFormat="false" ht="15" hidden="false" customHeight="false" outlineLevel="0" collapsed="false">
      <c r="A13" s="2" t="s">
        <v>117</v>
      </c>
      <c r="B13" s="13" t="n">
        <f aca="false">MAX(B12,0)*Assumptions!$B$8</f>
        <v>400000</v>
      </c>
      <c r="C13" s="13" t="n">
        <f aca="false">MAX(C12,0)*Assumptions!$B$8</f>
        <v>220000</v>
      </c>
      <c r="D13" s="13" t="n">
        <f aca="false">MAX(D12,0)*Assumptions!$B$8</f>
        <v>250260</v>
      </c>
      <c r="E13" s="13" t="n">
        <f aca="false">MAX(E12,0)*Assumptions!$B$8</f>
        <v>282420.8</v>
      </c>
      <c r="F13" s="13" t="n">
        <f aca="false">MAX(F12,0)*Assumptions!$B$8</f>
        <v>316634.464</v>
      </c>
      <c r="G13" s="13" t="n">
        <f aca="false">MAX(G12,0)*Assumptions!$B$8</f>
        <v>353065.22112</v>
      </c>
    </row>
    <row r="14" customFormat="false" ht="15" hidden="false" customHeight="false" outlineLevel="0" collapsed="false">
      <c r="A14" s="14" t="s">
        <v>118</v>
      </c>
      <c r="B14" s="16" t="n">
        <f aca="false">B12-B13</f>
        <v>1600000</v>
      </c>
      <c r="C14" s="17" t="n">
        <f aca="false">C12-C13</f>
        <v>879999.999999999</v>
      </c>
      <c r="D14" s="17" t="n">
        <f aca="false">D12-D13</f>
        <v>1001040</v>
      </c>
      <c r="E14" s="17" t="n">
        <f aca="false">E12-E13</f>
        <v>1129683.2</v>
      </c>
      <c r="F14" s="17" t="n">
        <f aca="false">F12-F13</f>
        <v>1266537.856</v>
      </c>
      <c r="G14" s="17" t="n">
        <f aca="false">G12-G13</f>
        <v>1412260.88448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7" min="2" style="0" width="15"/>
  </cols>
  <sheetData>
    <row r="1" customFormat="false" ht="24" hidden="false" customHeight="true" outlineLevel="0" collapsed="false">
      <c r="A1" s="6" t="s">
        <v>119</v>
      </c>
      <c r="B1" s="6"/>
      <c r="C1" s="6"/>
      <c r="D1" s="6"/>
      <c r="E1" s="6"/>
      <c r="F1" s="6"/>
      <c r="G1" s="6"/>
    </row>
    <row r="3" customFormat="false" ht="18" hidden="false" customHeight="true" outlineLevel="0" collapsed="false">
      <c r="A3" s="8" t="s">
        <v>120</v>
      </c>
      <c r="B3" s="12" t="s">
        <v>82</v>
      </c>
      <c r="C3" s="12" t="s">
        <v>83</v>
      </c>
      <c r="D3" s="12" t="s">
        <v>84</v>
      </c>
      <c r="E3" s="12" t="s">
        <v>85</v>
      </c>
      <c r="F3" s="12" t="s">
        <v>86</v>
      </c>
      <c r="G3" s="12" t="s">
        <v>87</v>
      </c>
    </row>
    <row r="4" customFormat="false" ht="15" hidden="false" customHeight="false" outlineLevel="0" collapsed="false">
      <c r="A4" s="2" t="s">
        <v>118</v>
      </c>
      <c r="C4" s="13" t="n">
        <f aca="false">IS!C14</f>
        <v>879999.999999999</v>
      </c>
      <c r="D4" s="13" t="n">
        <f aca="false">IS!D14</f>
        <v>1001040</v>
      </c>
      <c r="E4" s="13" t="n">
        <f aca="false">IS!E14</f>
        <v>1129683.2</v>
      </c>
      <c r="F4" s="13" t="n">
        <f aca="false">IS!F14</f>
        <v>1266537.856</v>
      </c>
      <c r="G4" s="13" t="n">
        <f aca="false">IS!G14</f>
        <v>1412260.88448</v>
      </c>
    </row>
    <row r="5" customFormat="false" ht="15" hidden="false" customHeight="false" outlineLevel="0" collapsed="false">
      <c r="A5" s="2" t="s">
        <v>121</v>
      </c>
      <c r="C5" s="13" t="n">
        <f aca="false">'PP&amp;E and Depreciation'!C9</f>
        <v>800000</v>
      </c>
      <c r="D5" s="13" t="n">
        <f aca="false">'PP&amp;E and Depreciation'!D9</f>
        <v>854000</v>
      </c>
      <c r="E5" s="13" t="n">
        <f aca="false">'PP&amp;E and Depreciation'!E9</f>
        <v>912320</v>
      </c>
      <c r="F5" s="13" t="n">
        <f aca="false">'PP&amp;E and Depreciation'!F9</f>
        <v>975305.6</v>
      </c>
      <c r="G5" s="13" t="n">
        <f aca="false">'PP&amp;E and Depreciation'!G9</f>
        <v>1043330.048</v>
      </c>
    </row>
    <row r="6" customFormat="false" ht="15" hidden="false" customHeight="false" outlineLevel="0" collapsed="false">
      <c r="A6" s="2" t="s">
        <v>122</v>
      </c>
      <c r="C6" s="13" t="n">
        <f aca="false">-'Working Capital Schedule'!C11</f>
        <v>-98630.1369863013</v>
      </c>
      <c r="D6" s="13" t="n">
        <f aca="false">-'Working Capital Schedule'!D11</f>
        <v>-106520.547945206</v>
      </c>
      <c r="E6" s="13" t="n">
        <f aca="false">-'Working Capital Schedule'!E11</f>
        <v>-115042.191780822</v>
      </c>
      <c r="F6" s="13" t="n">
        <f aca="false">-'Working Capital Schedule'!F11</f>
        <v>-124245.567123288</v>
      </c>
      <c r="G6" s="13" t="n">
        <f aca="false">-'Working Capital Schedule'!G11</f>
        <v>-134185.212493151</v>
      </c>
    </row>
    <row r="7" customFormat="false" ht="15" hidden="false" customHeight="false" outlineLevel="0" collapsed="false">
      <c r="A7" s="2" t="s">
        <v>123</v>
      </c>
      <c r="C7" s="13" t="n">
        <f aca="false">-'Working Capital Schedule'!C12</f>
        <v>-38136.9863013698</v>
      </c>
      <c r="D7" s="13" t="n">
        <f aca="false">-'Working Capital Schedule'!D12</f>
        <v>-41187.9452054795</v>
      </c>
      <c r="E7" s="13" t="n">
        <f aca="false">-'Working Capital Schedule'!E12</f>
        <v>-44482.9808219178</v>
      </c>
      <c r="F7" s="13" t="n">
        <f aca="false">-'Working Capital Schedule'!F12</f>
        <v>-48041.6192876714</v>
      </c>
      <c r="G7" s="13" t="n">
        <f aca="false">-'Working Capital Schedule'!G12</f>
        <v>-51884.9488306849</v>
      </c>
    </row>
    <row r="8" customFormat="false" ht="15" hidden="false" customHeight="false" outlineLevel="0" collapsed="false">
      <c r="A8" s="2" t="s">
        <v>124</v>
      </c>
      <c r="C8" s="13" t="n">
        <f aca="false">'Working Capital Schedule'!C13</f>
        <v>50849.3150684931</v>
      </c>
      <c r="D8" s="13" t="n">
        <f aca="false">'Working Capital Schedule'!D13</f>
        <v>54917.2602739726</v>
      </c>
      <c r="E8" s="13" t="n">
        <f aca="false">'Working Capital Schedule'!E13</f>
        <v>59310.6410958903</v>
      </c>
      <c r="F8" s="13" t="n">
        <f aca="false">'Working Capital Schedule'!F13</f>
        <v>64055.4923835619</v>
      </c>
      <c r="G8" s="13" t="n">
        <f aca="false">'Working Capital Schedule'!G13</f>
        <v>69179.9317742465</v>
      </c>
    </row>
    <row r="9" customFormat="false" ht="15" hidden="false" customHeight="false" outlineLevel="0" collapsed="false">
      <c r="A9" s="14" t="s">
        <v>125</v>
      </c>
      <c r="C9" s="16" t="n">
        <f aca="false">C4+C5+C6+C7+C8</f>
        <v>1594082.19178082</v>
      </c>
      <c r="D9" s="16" t="n">
        <f aca="false">D4+D5+D6+D7+D8</f>
        <v>1762248.76712329</v>
      </c>
      <c r="E9" s="16" t="n">
        <f aca="false">E4+E5+E6+E7+E8</f>
        <v>1941788.66849315</v>
      </c>
      <c r="F9" s="16" t="n">
        <f aca="false">F4+F5+F6+F7+F8</f>
        <v>2133611.7619726</v>
      </c>
      <c r="G9" s="16" t="n">
        <f aca="false">G4+G5+G6+G7+G8</f>
        <v>2338700.70293041</v>
      </c>
    </row>
    <row r="11" customFormat="false" ht="15" hidden="false" customHeight="false" outlineLevel="0" collapsed="false">
      <c r="A11" s="2" t="s">
        <v>126</v>
      </c>
      <c r="C11" s="13" t="n">
        <f aca="false">-'PP&amp;E and Depreciation'!C5</f>
        <v>-540000</v>
      </c>
      <c r="D11" s="13" t="n">
        <f aca="false">-'PP&amp;E and Depreciation'!D5</f>
        <v>-583200</v>
      </c>
      <c r="E11" s="13" t="n">
        <f aca="false">-'PP&amp;E and Depreciation'!E5</f>
        <v>-629856</v>
      </c>
      <c r="F11" s="13" t="n">
        <f aca="false">-'PP&amp;E and Depreciation'!F5</f>
        <v>-680244.48</v>
      </c>
      <c r="G11" s="13" t="n">
        <f aca="false">-'PP&amp;E and Depreciation'!G5</f>
        <v>-734664.0384</v>
      </c>
    </row>
    <row r="12" customFormat="false" ht="15" hidden="false" customHeight="false" outlineLevel="0" collapsed="false">
      <c r="A12" s="14" t="s">
        <v>127</v>
      </c>
      <c r="C12" s="16" t="n">
        <f aca="false">C11</f>
        <v>-540000</v>
      </c>
      <c r="D12" s="16" t="n">
        <f aca="false">D11</f>
        <v>-583200</v>
      </c>
      <c r="E12" s="16" t="n">
        <f aca="false">E11</f>
        <v>-629856</v>
      </c>
      <c r="F12" s="16" t="n">
        <f aca="false">F11</f>
        <v>-680244.48</v>
      </c>
      <c r="G12" s="16" t="n">
        <f aca="false">G11</f>
        <v>-734664.0384</v>
      </c>
    </row>
    <row r="14" customFormat="false" ht="15" hidden="false" customHeight="false" outlineLevel="0" collapsed="false">
      <c r="A14" s="2" t="s">
        <v>128</v>
      </c>
      <c r="C14" s="13" t="n">
        <f aca="false">-'Debt Schedule'!C5</f>
        <v>-500000</v>
      </c>
      <c r="D14" s="13" t="n">
        <f aca="false">-'Debt Schedule'!D5</f>
        <v>-500000</v>
      </c>
      <c r="E14" s="13" t="n">
        <f aca="false">-'Debt Schedule'!E5</f>
        <v>-500000</v>
      </c>
      <c r="F14" s="13" t="n">
        <f aca="false">-'Debt Schedule'!F5</f>
        <v>-500000</v>
      </c>
      <c r="G14" s="13" t="n">
        <f aca="false">-'Debt Schedule'!G5</f>
        <v>-500000</v>
      </c>
    </row>
    <row r="15" customFormat="false" ht="15" hidden="false" customHeight="false" outlineLevel="0" collapsed="false">
      <c r="A15" s="2" t="s">
        <v>129</v>
      </c>
      <c r="C15" s="13" t="n">
        <f aca="false">-IS!C14*Assumptions!$B$24</f>
        <v>-176000</v>
      </c>
      <c r="D15" s="13" t="n">
        <f aca="false">-IS!D14*Assumptions!$B$24</f>
        <v>-200208</v>
      </c>
      <c r="E15" s="13" t="n">
        <f aca="false">-IS!E14*Assumptions!$B$24</f>
        <v>-225936.64</v>
      </c>
      <c r="F15" s="13" t="n">
        <f aca="false">-IS!F14*Assumptions!$B$24</f>
        <v>-253307.5712</v>
      </c>
      <c r="G15" s="13" t="n">
        <f aca="false">-IS!G14*Assumptions!$B$24</f>
        <v>-282452.176896</v>
      </c>
    </row>
    <row r="16" customFormat="false" ht="15" hidden="false" customHeight="false" outlineLevel="0" collapsed="false">
      <c r="A16" s="14" t="s">
        <v>130</v>
      </c>
      <c r="C16" s="16" t="n">
        <f aca="false">C14+C15</f>
        <v>-676000</v>
      </c>
      <c r="D16" s="16" t="n">
        <f aca="false">D14+D15</f>
        <v>-700208</v>
      </c>
      <c r="E16" s="16" t="n">
        <f aca="false">E14+E15</f>
        <v>-725936.64</v>
      </c>
      <c r="F16" s="16" t="n">
        <f aca="false">F14+F15</f>
        <v>-753307.5712</v>
      </c>
      <c r="G16" s="16" t="n">
        <f aca="false">G14+G15</f>
        <v>-782452.176896</v>
      </c>
    </row>
    <row r="18" customFormat="false" ht="15" hidden="false" customHeight="false" outlineLevel="0" collapsed="false">
      <c r="A18" s="14" t="s">
        <v>131</v>
      </c>
      <c r="C18" s="16" t="n">
        <f aca="false">C9+C12+C16</f>
        <v>378082.191780822</v>
      </c>
      <c r="D18" s="16" t="n">
        <f aca="false">D9+D12+D16</f>
        <v>478840.767123287</v>
      </c>
      <c r="E18" s="16" t="n">
        <f aca="false">E9+E12+E16</f>
        <v>585996.028493151</v>
      </c>
      <c r="F18" s="16" t="n">
        <f aca="false">F9+F12+F16</f>
        <v>700059.710772602</v>
      </c>
      <c r="G18" s="16" t="n">
        <f aca="false">G9+G12+G16</f>
        <v>821584.487634411</v>
      </c>
    </row>
    <row r="19" customFormat="false" ht="15" hidden="false" customHeight="false" outlineLevel="0" collapsed="false">
      <c r="A19" s="2" t="s">
        <v>132</v>
      </c>
      <c r="C19" s="13" t="n">
        <f aca="false">Assumptions!$B$27</f>
        <v>1500000</v>
      </c>
      <c r="D19" s="15" t="n">
        <f aca="false">C20</f>
        <v>1878082.19178082</v>
      </c>
      <c r="E19" s="15" t="n">
        <f aca="false">D20</f>
        <v>2356922.95890411</v>
      </c>
      <c r="F19" s="15" t="n">
        <f aca="false">E20</f>
        <v>2942918.98739726</v>
      </c>
      <c r="G19" s="15" t="n">
        <f aca="false">F20</f>
        <v>3642978.69816986</v>
      </c>
    </row>
    <row r="20" customFormat="false" ht="15" hidden="false" customHeight="false" outlineLevel="0" collapsed="false">
      <c r="A20" s="14" t="s">
        <v>133</v>
      </c>
      <c r="C20" s="17" t="n">
        <f aca="false">C19+C18</f>
        <v>1878082.19178082</v>
      </c>
      <c r="D20" s="17" t="n">
        <f aca="false">D19+D18</f>
        <v>2356922.95890411</v>
      </c>
      <c r="E20" s="17" t="n">
        <f aca="false">E19+E18</f>
        <v>2942918.98739726</v>
      </c>
      <c r="F20" s="17" t="n">
        <f aca="false">F19+F18</f>
        <v>3642978.69816986</v>
      </c>
      <c r="G20" s="17" t="n">
        <f aca="false">G19+G18</f>
        <v>4464563.18580427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7" min="2" style="0" width="15"/>
  </cols>
  <sheetData>
    <row r="1" customFormat="false" ht="24" hidden="false" customHeight="true" outlineLevel="0" collapsed="false">
      <c r="A1" s="6" t="s">
        <v>134</v>
      </c>
      <c r="B1" s="6"/>
      <c r="C1" s="6"/>
      <c r="D1" s="6"/>
      <c r="E1" s="6"/>
      <c r="F1" s="6"/>
      <c r="G1" s="6"/>
    </row>
    <row r="3" customFormat="false" ht="18" hidden="false" customHeight="true" outlineLevel="0" collapsed="false">
      <c r="A3" s="3" t="s">
        <v>135</v>
      </c>
      <c r="B3" s="12" t="s">
        <v>82</v>
      </c>
      <c r="C3" s="12" t="s">
        <v>83</v>
      </c>
      <c r="D3" s="12" t="s">
        <v>84</v>
      </c>
      <c r="E3" s="12" t="s">
        <v>85</v>
      </c>
      <c r="F3" s="12" t="s">
        <v>86</v>
      </c>
      <c r="G3" s="12" t="s">
        <v>87</v>
      </c>
    </row>
    <row r="4" customFormat="false" ht="15" hidden="false" customHeight="false" outlineLevel="0" collapsed="false">
      <c r="A4" s="2" t="s">
        <v>136</v>
      </c>
      <c r="B4" s="13" t="n">
        <f aca="false">Assumptions!$B$27</f>
        <v>1500000</v>
      </c>
      <c r="C4" s="13" t="n">
        <f aca="false">'Cash Flow Statement'!C20</f>
        <v>1878082.19178082</v>
      </c>
      <c r="D4" s="13" t="n">
        <f aca="false">'Cash Flow Statement'!D20</f>
        <v>2356922.95890411</v>
      </c>
      <c r="E4" s="13" t="n">
        <f aca="false">'Cash Flow Statement'!E20</f>
        <v>2942918.98739726</v>
      </c>
      <c r="F4" s="13" t="n">
        <f aca="false">'Cash Flow Statement'!F20</f>
        <v>3642978.69816986</v>
      </c>
      <c r="G4" s="13" t="n">
        <f aca="false">'Cash Flow Statement'!G20</f>
        <v>4464563.18580427</v>
      </c>
    </row>
    <row r="5" customFormat="false" ht="15" hidden="false" customHeight="false" outlineLevel="0" collapsed="false">
      <c r="A5" s="2" t="s">
        <v>90</v>
      </c>
      <c r="B5" s="13" t="n">
        <f aca="false">'Working Capital Schedule'!B7</f>
        <v>1232876.71232877</v>
      </c>
      <c r="C5" s="13" t="n">
        <f aca="false">'Working Capital Schedule'!C7</f>
        <v>1331506.84931507</v>
      </c>
      <c r="D5" s="13" t="n">
        <f aca="false">'Working Capital Schedule'!D7</f>
        <v>1438027.39726027</v>
      </c>
      <c r="E5" s="13" t="n">
        <f aca="false">'Working Capital Schedule'!E7</f>
        <v>1553069.5890411</v>
      </c>
      <c r="F5" s="13" t="n">
        <f aca="false">'Working Capital Schedule'!F7</f>
        <v>1677315.15616438</v>
      </c>
      <c r="G5" s="13" t="n">
        <f aca="false">'Working Capital Schedule'!G7</f>
        <v>1811500.36865753</v>
      </c>
    </row>
    <row r="6" customFormat="false" ht="15" hidden="false" customHeight="false" outlineLevel="0" collapsed="false">
      <c r="A6" s="2" t="s">
        <v>91</v>
      </c>
      <c r="B6" s="13" t="n">
        <f aca="false">'Working Capital Schedule'!B8</f>
        <v>476712.328767123</v>
      </c>
      <c r="C6" s="13" t="n">
        <f aca="false">'Working Capital Schedule'!C8</f>
        <v>514849.315068493</v>
      </c>
      <c r="D6" s="13" t="n">
        <f aca="false">'Working Capital Schedule'!D8</f>
        <v>556037.260273973</v>
      </c>
      <c r="E6" s="13" t="n">
        <f aca="false">'Working Capital Schedule'!E8</f>
        <v>600520.24109589</v>
      </c>
      <c r="F6" s="13" t="n">
        <f aca="false">'Working Capital Schedule'!F8</f>
        <v>648561.860383562</v>
      </c>
      <c r="G6" s="13" t="n">
        <f aca="false">'Working Capital Schedule'!G8</f>
        <v>700446.809214247</v>
      </c>
    </row>
    <row r="7" customFormat="false" ht="15" hidden="false" customHeight="false" outlineLevel="0" collapsed="false">
      <c r="A7" s="14" t="s">
        <v>137</v>
      </c>
      <c r="B7" s="16" t="n">
        <f aca="false">B4+B5+B6</f>
        <v>3209589.04109589</v>
      </c>
      <c r="C7" s="16" t="n">
        <f aca="false">C4+C5+C6</f>
        <v>3724438.35616438</v>
      </c>
      <c r="D7" s="16" t="n">
        <f aca="false">D4+D5+D6</f>
        <v>4350987.61643836</v>
      </c>
      <c r="E7" s="16" t="n">
        <f aca="false">E4+E5+E6</f>
        <v>5096508.81753425</v>
      </c>
      <c r="F7" s="16" t="n">
        <f aca="false">F4+F5+F6</f>
        <v>5968855.71471781</v>
      </c>
      <c r="G7" s="16" t="n">
        <f aca="false">G4+G5+G6</f>
        <v>6976510.36367605</v>
      </c>
    </row>
    <row r="8" customFormat="false" ht="15" hidden="false" customHeight="false" outlineLevel="0" collapsed="false">
      <c r="A8" s="2" t="s">
        <v>138</v>
      </c>
      <c r="B8" s="13" t="n">
        <f aca="false">'PP&amp;E and Depreciation'!B12</f>
        <v>5000000</v>
      </c>
      <c r="C8" s="13" t="n">
        <f aca="false">'PP&amp;E and Depreciation'!C12</f>
        <v>4740000</v>
      </c>
      <c r="D8" s="13" t="n">
        <f aca="false">'PP&amp;E and Depreciation'!D12</f>
        <v>4469200</v>
      </c>
      <c r="E8" s="13" t="n">
        <f aca="false">'PP&amp;E and Depreciation'!E12</f>
        <v>4186736</v>
      </c>
      <c r="F8" s="13" t="n">
        <f aca="false">'PP&amp;E and Depreciation'!F12</f>
        <v>3891674.88</v>
      </c>
      <c r="G8" s="13" t="n">
        <f aca="false">'PP&amp;E and Depreciation'!G12</f>
        <v>3583008.8704</v>
      </c>
    </row>
    <row r="9" customFormat="false" ht="15" hidden="false" customHeight="false" outlineLevel="0" collapsed="false">
      <c r="A9" s="14" t="s">
        <v>139</v>
      </c>
      <c r="B9" s="16" t="n">
        <f aca="false">B7+B8</f>
        <v>8209589.04109589</v>
      </c>
      <c r="C9" s="17" t="n">
        <f aca="false">C7+C8</f>
        <v>8464438.35616438</v>
      </c>
      <c r="D9" s="17" t="n">
        <f aca="false">D7+D8</f>
        <v>8820187.61643836</v>
      </c>
      <c r="E9" s="17" t="n">
        <f aca="false">E7+E8</f>
        <v>9283244.81753425</v>
      </c>
      <c r="F9" s="17" t="n">
        <f aca="false">F7+F8</f>
        <v>9860530.59471781</v>
      </c>
      <c r="G9" s="17" t="n">
        <f aca="false">G7+G8</f>
        <v>10559519.2340761</v>
      </c>
    </row>
    <row r="11" customFormat="false" ht="15" hidden="false" customHeight="false" outlineLevel="0" collapsed="false">
      <c r="A11" s="3" t="s">
        <v>140</v>
      </c>
    </row>
    <row r="12" customFormat="false" ht="15" hidden="false" customHeight="false" outlineLevel="0" collapsed="false">
      <c r="A12" s="2" t="s">
        <v>92</v>
      </c>
      <c r="B12" s="13" t="n">
        <f aca="false">'Working Capital Schedule'!B9</f>
        <v>635616.438356165</v>
      </c>
      <c r="C12" s="13" t="n">
        <f aca="false">'Working Capital Schedule'!C9</f>
        <v>686465.753424658</v>
      </c>
      <c r="D12" s="13" t="n">
        <f aca="false">'Working Capital Schedule'!D9</f>
        <v>741383.01369863</v>
      </c>
      <c r="E12" s="13" t="n">
        <f aca="false">'Working Capital Schedule'!E9</f>
        <v>800693.654794521</v>
      </c>
      <c r="F12" s="13" t="n">
        <f aca="false">'Working Capital Schedule'!F9</f>
        <v>864749.147178083</v>
      </c>
      <c r="G12" s="13" t="n">
        <f aca="false">'Working Capital Schedule'!G9</f>
        <v>933929.078952329</v>
      </c>
    </row>
    <row r="13" customFormat="false" ht="15" hidden="false" customHeight="false" outlineLevel="0" collapsed="false">
      <c r="A13" s="14" t="s">
        <v>141</v>
      </c>
      <c r="B13" s="16" t="n">
        <f aca="false">B12</f>
        <v>635616.438356165</v>
      </c>
      <c r="C13" s="16" t="n">
        <f aca="false">C12</f>
        <v>686465.753424658</v>
      </c>
      <c r="D13" s="16" t="n">
        <f aca="false">D12</f>
        <v>741383.01369863</v>
      </c>
      <c r="E13" s="16" t="n">
        <f aca="false">E12</f>
        <v>800693.654794521</v>
      </c>
      <c r="F13" s="16" t="n">
        <f aca="false">F12</f>
        <v>864749.147178083</v>
      </c>
      <c r="G13" s="16" t="n">
        <f aca="false">G12</f>
        <v>933929.078952329</v>
      </c>
    </row>
    <row r="14" customFormat="false" ht="15" hidden="false" customHeight="false" outlineLevel="0" collapsed="false">
      <c r="A14" s="2" t="s">
        <v>142</v>
      </c>
      <c r="B14" s="13" t="n">
        <f aca="false">'Debt Schedule'!B6</f>
        <v>4000000</v>
      </c>
      <c r="C14" s="13" t="n">
        <f aca="false">'Debt Schedule'!C6</f>
        <v>3500000</v>
      </c>
      <c r="D14" s="13" t="n">
        <f aca="false">'Debt Schedule'!D6</f>
        <v>3000000</v>
      </c>
      <c r="E14" s="13" t="n">
        <f aca="false">'Debt Schedule'!E6</f>
        <v>2500000</v>
      </c>
      <c r="F14" s="13" t="n">
        <f aca="false">'Debt Schedule'!F6</f>
        <v>2000000</v>
      </c>
      <c r="G14" s="13" t="n">
        <f aca="false">'Debt Schedule'!G6</f>
        <v>1500000</v>
      </c>
    </row>
    <row r="15" customFormat="false" ht="15" hidden="false" customHeight="false" outlineLevel="0" collapsed="false">
      <c r="A15" s="14" t="s">
        <v>143</v>
      </c>
      <c r="B15" s="16" t="n">
        <f aca="false">B13+B14</f>
        <v>4635616.43835617</v>
      </c>
      <c r="C15" s="16" t="n">
        <f aca="false">C13+C14</f>
        <v>4186465.75342466</v>
      </c>
      <c r="D15" s="16" t="n">
        <f aca="false">D13+D14</f>
        <v>3741383.01369863</v>
      </c>
      <c r="E15" s="16" t="n">
        <f aca="false">E13+E14</f>
        <v>3300693.65479452</v>
      </c>
      <c r="F15" s="16" t="n">
        <f aca="false">F13+F14</f>
        <v>2864749.14717808</v>
      </c>
      <c r="G15" s="16" t="n">
        <f aca="false">G13+G14</f>
        <v>2433929.07895233</v>
      </c>
    </row>
    <row r="17" customFormat="false" ht="15" hidden="false" customHeight="false" outlineLevel="0" collapsed="false">
      <c r="A17" s="3" t="s">
        <v>144</v>
      </c>
    </row>
    <row r="18" customFormat="false" ht="15" hidden="false" customHeight="false" outlineLevel="0" collapsed="false">
      <c r="A18" s="2" t="s">
        <v>145</v>
      </c>
      <c r="B18" s="13" t="n">
        <f aca="false">Assumptions!$B$31</f>
        <v>2000000</v>
      </c>
      <c r="C18" s="15" t="n">
        <f aca="false">B18</f>
        <v>2000000</v>
      </c>
      <c r="D18" s="15" t="n">
        <f aca="false">C18</f>
        <v>2000000</v>
      </c>
      <c r="E18" s="15" t="n">
        <f aca="false">D18</f>
        <v>2000000</v>
      </c>
      <c r="F18" s="15" t="n">
        <f aca="false">E18</f>
        <v>2000000</v>
      </c>
      <c r="G18" s="15" t="n">
        <f aca="false">F18</f>
        <v>2000000</v>
      </c>
    </row>
    <row r="19" customFormat="false" ht="15" hidden="false" customHeight="false" outlineLevel="0" collapsed="false">
      <c r="A19" s="2" t="s">
        <v>146</v>
      </c>
      <c r="B19" s="16" t="n">
        <f aca="false">B9-B15-B18</f>
        <v>1573972.60273973</v>
      </c>
      <c r="C19" s="13" t="n">
        <f aca="false">B19+IS!C14+'Cash Flow Statement'!C15</f>
        <v>2277972.60273973</v>
      </c>
      <c r="D19" s="13" t="n">
        <f aca="false">C19+IS!D14+'Cash Flow Statement'!D15</f>
        <v>3078804.60273972</v>
      </c>
      <c r="E19" s="13" t="n">
        <f aca="false">D19+IS!E14+'Cash Flow Statement'!E15</f>
        <v>3982551.16273972</v>
      </c>
      <c r="F19" s="13" t="n">
        <f aca="false">E19+IS!F14+'Cash Flow Statement'!F15</f>
        <v>4995781.44753972</v>
      </c>
      <c r="G19" s="13" t="n">
        <f aca="false">F19+IS!G14+'Cash Flow Statement'!G15</f>
        <v>6125590.15512372</v>
      </c>
    </row>
    <row r="20" customFormat="false" ht="15" hidden="false" customHeight="false" outlineLevel="0" collapsed="false">
      <c r="A20" s="14" t="s">
        <v>147</v>
      </c>
      <c r="B20" s="16" t="n">
        <f aca="false">B18+B19</f>
        <v>3573972.60273973</v>
      </c>
      <c r="C20" s="16" t="n">
        <f aca="false">C18+C19</f>
        <v>4277972.60273973</v>
      </c>
      <c r="D20" s="16" t="n">
        <f aca="false">D18+D19</f>
        <v>5078804.60273972</v>
      </c>
      <c r="E20" s="16" t="n">
        <f aca="false">E18+E19</f>
        <v>5982551.16273972</v>
      </c>
      <c r="F20" s="16" t="n">
        <f aca="false">F18+F19</f>
        <v>6995781.44753972</v>
      </c>
      <c r="G20" s="16" t="n">
        <f aca="false">G18+G19</f>
        <v>8125590.15512372</v>
      </c>
    </row>
    <row r="22" customFormat="false" ht="15" hidden="false" customHeight="false" outlineLevel="0" collapsed="false">
      <c r="A22" s="14" t="s">
        <v>148</v>
      </c>
      <c r="B22" s="16" t="n">
        <f aca="false">B15+B20</f>
        <v>8209589.04109589</v>
      </c>
      <c r="C22" s="16" t="n">
        <f aca="false">C15+C20</f>
        <v>8464438.35616438</v>
      </c>
      <c r="D22" s="16" t="n">
        <f aca="false">D15+D20</f>
        <v>8820187.61643836</v>
      </c>
      <c r="E22" s="16" t="n">
        <f aca="false">E15+E20</f>
        <v>9283244.81753425</v>
      </c>
      <c r="F22" s="16" t="n">
        <f aca="false">F15+F20</f>
        <v>9860530.59471781</v>
      </c>
      <c r="G22" s="16" t="n">
        <f aca="false">G15+G20</f>
        <v>10559519.2340761</v>
      </c>
    </row>
    <row r="24" customFormat="false" ht="15" hidden="false" customHeight="false" outlineLevel="0" collapsed="false">
      <c r="A24" s="14" t="s">
        <v>149</v>
      </c>
      <c r="B24" s="18" t="n">
        <f aca="false">B9-B22</f>
        <v>0</v>
      </c>
      <c r="C24" s="18" t="n">
        <f aca="false">C9-C22</f>
        <v>0</v>
      </c>
      <c r="D24" s="18" t="n">
        <f aca="false">D9-D22</f>
        <v>0</v>
      </c>
      <c r="E24" s="18" t="n">
        <f aca="false">E9-E22</f>
        <v>0</v>
      </c>
      <c r="F24" s="18" t="n">
        <f aca="false">F9-F22</f>
        <v>0</v>
      </c>
      <c r="G24" s="18" t="n">
        <f aca="false">G9-G22</f>
        <v>0</v>
      </c>
    </row>
  </sheetData>
  <mergeCells count="1">
    <mergeCell ref="A1:G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2026-10-05T08:28:16Z</dcterms:created>
  <dc:creator>openpyxl</dc:creator>
  <dc:description/>
  <dc:language>en-US</dc:language>
  <cp:lastModifiedBy/>
  <dcterms:modified xsi:type="dcterms:W3CDTF">2026-10-05T08:28:16Z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